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04\"/>
    </mc:Choice>
  </mc:AlternateContent>
  <xr:revisionPtr revIDLastSave="0" documentId="10_ncr:100000_{BE2B9EED-A318-44FC-B148-DE40D4D1D1FF}" xr6:coauthVersionLast="31" xr6:coauthVersionMax="31" xr10:uidLastSave="{00000000-0000-0000-0000-000000000000}"/>
  <bookViews>
    <workbookView xWindow="0" yWindow="0" windowWidth="16875" windowHeight="490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B21" i="5" l="1"/>
  <c r="F20" i="7" l="1"/>
  <c r="D20" i="7"/>
  <c r="F21" i="7"/>
  <c r="D21" i="7"/>
  <c r="B21" i="7"/>
  <c r="B20" i="7"/>
  <c r="F12" i="7"/>
  <c r="D12" i="7"/>
  <c r="B12" i="7"/>
  <c r="F11" i="7"/>
  <c r="D11" i="7"/>
  <c r="B11" i="7"/>
  <c r="F44" i="6" l="1"/>
  <c r="F45" i="6"/>
  <c r="F46" i="6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7" i="6" l="1"/>
  <c r="B32" i="5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<sst xmlns="http://schemas.openxmlformats.org/spreadsheetml/2006/main" count="160" uniqueCount="94">
  <si>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</si>
  <si>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</si>
  <si>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</si>
  <si>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</si>
  <si>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</si>
  <si>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</si>
  <si>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</si>
  <si>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</si>
  <si>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</si>
  <si>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</si>
  <si>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</si>
  <si>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</si>
  <si>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</si>
  <si>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</si>
  <si>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</si>
  <si>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</si>
  <si>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</si>
  <si>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</si>
  <si>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</si>
  <si>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</si>
  <si>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</si>
  <si>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</si>
  <si>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</si>
  <si>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</si>
  <si>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</si>
  <si>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</si>
  <si>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</si>
  <si>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</si>
  <si>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</si>
  <si>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</si>
  <si>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</si>
  <si>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</si>
  <si>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</si>
  <si>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</si>
  <si>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</si>
  <si>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</si>
  <si>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</si>
  <si>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</si>
  <si>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</si>
  <si>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</si>
  <si>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</si>
  <si>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</si>
  <si>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</si>
  <si>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</si>
  <si>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</si>
  <si>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</si>
  <si>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</si>
  <si>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</si>
  <si>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</si>
  <si>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</si>
  <si>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</si>
  <si>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</si>
  <si>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</si>
  <si>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</si>
  <si>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</si>
  <si>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</si>
  <si>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</si>
  <si>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</si>
  <si>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</si>
  <si>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</si>
  <si>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</si>
  <si>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</si>
  <si>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</si>
  <si>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</si>
  <si>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</si>
  <si>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</si>
  <si>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</si>
  <si>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</si>
  <si>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</si>
  <si>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</si>
  <si>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</si>
  <si>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</si>
  <si>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</si>
  <si>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</si>
  <si>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</si>
  <si>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</si>
  <si>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</si>
  <si>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</si>
  <si>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</si>
  <si>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</si>
  <si>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</si>
  <si>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</si>
  <si>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</si>
  <si>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</si>
  <si>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</si>
  <si>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</si>
  <si>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</si>
  <si>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</si>
  <si>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</si>
  <si>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</si>
  <si>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Aequitas Energy, Inc</t>
  </si>
  <si>
    <t>Agera Energy, LLC</t>
  </si>
  <si>
    <t>Perigee Energy, LLC</t>
  </si>
  <si>
    <t>Data as of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</si>
</sst>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04_April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04_April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40134.261000000013</v>
          </cell>
        </row>
        <row r="25">
          <cell r="H25">
            <v>95139.859999999957</v>
          </cell>
        </row>
        <row r="26">
          <cell r="H26">
            <v>60302.49</v>
          </cell>
        </row>
        <row r="29">
          <cell r="H29">
            <v>96950.356000000014</v>
          </cell>
        </row>
        <row r="30">
          <cell r="H30">
            <v>42259.685000000012</v>
          </cell>
        </row>
        <row r="31">
          <cell r="H31">
            <v>3633.6480000000001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91245</v>
          </cell>
        </row>
        <row r="19">
          <cell r="B19">
            <v>19734</v>
          </cell>
        </row>
        <row r="20">
          <cell r="B20">
            <v>195</v>
          </cell>
        </row>
        <row r="22">
          <cell r="B22">
            <v>209544</v>
          </cell>
        </row>
        <row r="23">
          <cell r="B23">
            <v>18039</v>
          </cell>
        </row>
        <row r="24">
          <cell r="B24">
            <v>27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93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40134.261000000013</v>
      </c>
      <c r="C11" s="40">
        <f>IF(B11=0,0,B11/$B$13)</f>
        <v>0.29276998308278457</v>
      </c>
      <c r="D11" s="68">
        <f>[1]Check!$H$25</f>
        <v>95139.859999999957</v>
      </c>
      <c r="E11" s="40">
        <f>IF(D11=0,0,D11/$D$13)</f>
        <v>0.69243213287205552</v>
      </c>
      <c r="F11" s="68">
        <f>[1]Check!$H$26</f>
        <v>60302.49</v>
      </c>
      <c r="G11" s="40">
        <f>IF(F11=0,0,F11/$F$13)</f>
        <v>0.94316754008507675</v>
      </c>
      <c r="H11" s="41">
        <f>IF(B11+D11+F11=0,0,B11+D11+F11)</f>
        <v>195576.61099999998</v>
      </c>
      <c r="I11" s="40">
        <f>IF(H11=0,0,H11/$H$13)</f>
        <v>0.57791040017398476</v>
      </c>
    </row>
    <row r="12" spans="1:15" ht="18" customHeight="1" x14ac:dyDescent="0.2">
      <c r="A12" s="39" t="s">
        <v>11</v>
      </c>
      <c r="B12" s="69">
        <f>[1]Check!$H$29</f>
        <v>96950.356000000014</v>
      </c>
      <c r="C12" s="40">
        <f>IF(B12=0,0,B12/$B$13)</f>
        <v>0.70723001691721543</v>
      </c>
      <c r="D12" s="69">
        <f>[1]Check!$H$30</f>
        <v>42259.685000000012</v>
      </c>
      <c r="E12" s="40">
        <f>IF(D12=0,0,D12/$D$13)</f>
        <v>0.30756786712794437</v>
      </c>
      <c r="F12" s="69">
        <f>[1]Check!$H$31</f>
        <v>3633.6480000000001</v>
      </c>
      <c r="G12" s="40">
        <f>IF(F12=0,0,F12/$F$13)</f>
        <v>5.6832459914923236E-2</v>
      </c>
      <c r="H12" s="102">
        <f>IF(B12+D12+F12=0,0,B12+D12+F12)</f>
        <v>142843.68900000001</v>
      </c>
      <c r="I12" s="40">
        <f>IF(H12=0,0,H12/$H$13)</f>
        <v>0.42208959982601524</v>
      </c>
    </row>
    <row r="13" spans="1:15" ht="18" customHeight="1" x14ac:dyDescent="0.2">
      <c r="A13" s="107" t="s">
        <v>6</v>
      </c>
      <c r="B13" s="42">
        <f>SUM(B11:B12)</f>
        <v>137084.61700000003</v>
      </c>
      <c r="C13" s="43"/>
      <c r="D13" s="42">
        <f>SUM(D11:D12)</f>
        <v>137399.54499999998</v>
      </c>
      <c r="E13" s="43"/>
      <c r="F13" s="42">
        <f>SUM(F11:F12)</f>
        <v>63936.137999999999</v>
      </c>
      <c r="G13" s="43"/>
      <c r="H13" s="42">
        <f>IF(H11+H12=0,0,H11+H12)</f>
        <v>338420.3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195,577 MWh, or 57.8%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142,844 MHh, or 42.2%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91245</v>
      </c>
      <c r="C20" s="40">
        <f>IF(B20=0,0,B20/$B$22)</f>
        <v>0.30335218375671985</v>
      </c>
      <c r="D20" s="68">
        <f>[2]Summary!$B$19</f>
        <v>19734</v>
      </c>
      <c r="E20" s="53">
        <f>IF(D20=0,0,D20/$D$22)</f>
        <v>0.52243666110714004</v>
      </c>
      <c r="F20" s="68">
        <f>[2]Summary!$B$20</f>
        <v>195</v>
      </c>
      <c r="G20" s="40">
        <f>IF(F20=0,0,F20/$F$22)</f>
        <v>0.8783783783783784</v>
      </c>
      <c r="H20" s="41">
        <f>IF(B20+D20+F20=0,0,B20+D20+F20)</f>
        <v>111174</v>
      </c>
      <c r="I20" s="40">
        <f>IF(H20=0,0,H20/$H$22)</f>
        <v>0.32815599319920657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209544</v>
      </c>
      <c r="C21" s="40">
        <f>IF(B21=0,0,B21/$B$22)</f>
        <v>0.6966478162432802</v>
      </c>
      <c r="D21" s="69">
        <f>[2]Summary!$B$23</f>
        <v>18039</v>
      </c>
      <c r="E21" s="53">
        <f>IF(D21=0,0,D21/$D$22)</f>
        <v>0.47756333889285996</v>
      </c>
      <c r="F21" s="69">
        <f>[2]Summary!$B$24</f>
        <v>27</v>
      </c>
      <c r="G21" s="40">
        <f>IF(F21=0,0,F21/$F$22)</f>
        <v>0.12162162162162163</v>
      </c>
      <c r="H21" s="69">
        <f>IF(B21+D21+F21=0,0,B21+D21+F21)</f>
        <v>227610</v>
      </c>
      <c r="I21" s="40">
        <f>IF(H21=0,0,H21/$H$22)</f>
        <v>0.67184400680079348</v>
      </c>
    </row>
    <row r="22" spans="1:17" ht="18" customHeight="1" x14ac:dyDescent="0.2">
      <c r="A22" s="39" t="str">
        <f>A13</f>
        <v>Total</v>
      </c>
      <c r="B22" s="42">
        <f>SUM(B20:B21)</f>
        <v>300789</v>
      </c>
      <c r="C22" s="55"/>
      <c r="D22" s="42">
        <f>SUM(D20:D21)</f>
        <v>37773</v>
      </c>
      <c r="E22" s="43"/>
      <c r="F22" s="42">
        <f>SUM(F20:F21)</f>
        <v>222</v>
      </c>
      <c r="G22" s="43"/>
      <c r="H22" s="42">
        <f>IF(H20+H21=0,0,H20+H21)</f>
        <v>338784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111,174 of UI's total customers, or 32.8%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227,610 or 67.2%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89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April 30,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90</v>
      </c>
      <c r="C9" s="113">
        <v>159</v>
      </c>
      <c r="D9" s="114">
        <v>184</v>
      </c>
      <c r="E9" s="115">
        <v>343</v>
      </c>
      <c r="F9" s="21">
        <f t="shared" ref="F9:F46" si="0">IF(E9=0,"",E9/$E$47)</f>
        <v>3.0860309862703111E-3</v>
      </c>
    </row>
    <row r="10" spans="1:11" ht="14.25" customHeight="1" x14ac:dyDescent="0.2">
      <c r="A10" s="105">
        <v>2</v>
      </c>
      <c r="B10" t="s">
        <v>91</v>
      </c>
      <c r="C10" s="116">
        <v>584</v>
      </c>
      <c r="D10" s="112">
        <v>1139</v>
      </c>
      <c r="E10" s="117">
        <v>1723</v>
      </c>
      <c r="F10" s="21">
        <f t="shared" si="0"/>
        <v>1.550213233044824E-2</v>
      </c>
    </row>
    <row r="11" spans="1:11" ht="14.25" customHeight="1" x14ac:dyDescent="0.2">
      <c r="A11" s="105">
        <v>3</v>
      </c>
      <c r="B11" t="s">
        <v>50</v>
      </c>
      <c r="C11" s="116">
        <v>10157</v>
      </c>
      <c r="D11" s="112">
        <v>844</v>
      </c>
      <c r="E11" s="117">
        <v>11001</v>
      </c>
      <c r="F11" s="21">
        <f t="shared" si="0"/>
        <v>9.897792093282709E-2</v>
      </c>
    </row>
    <row r="12" spans="1:11" ht="14.25" customHeight="1" x14ac:dyDescent="0.2">
      <c r="A12" s="105">
        <v>4</v>
      </c>
      <c r="B12" t="s">
        <v>58</v>
      </c>
      <c r="C12" s="116">
        <v>17</v>
      </c>
      <c r="D12" s="112">
        <v>3049</v>
      </c>
      <c r="E12" s="117">
        <v>3066</v>
      </c>
      <c r="F12" s="21">
        <f t="shared" si="0"/>
        <v>2.7585338203804006E-2</v>
      </c>
    </row>
    <row r="13" spans="1:11" ht="14.25" customHeight="1" x14ac:dyDescent="0.2">
      <c r="A13" s="105">
        <v>5</v>
      </c>
      <c r="B13" t="s">
        <v>59</v>
      </c>
      <c r="C13" s="116">
        <v>16</v>
      </c>
      <c r="D13" s="112">
        <v>173</v>
      </c>
      <c r="E13" s="117">
        <v>189</v>
      </c>
      <c r="F13" s="21">
        <f t="shared" si="0"/>
        <v>1.700466053659151E-3</v>
      </c>
    </row>
    <row r="14" spans="1:11" ht="14.25" customHeight="1" x14ac:dyDescent="0.2">
      <c r="A14" s="105">
        <v>6</v>
      </c>
      <c r="B14" t="s">
        <v>60</v>
      </c>
      <c r="C14" s="116">
        <v>552</v>
      </c>
      <c r="D14" s="112">
        <v>13</v>
      </c>
      <c r="E14" s="117">
        <v>565</v>
      </c>
      <c r="F14" s="21">
        <f t="shared" si="0"/>
        <v>5.0834038112032819E-3</v>
      </c>
    </row>
    <row r="15" spans="1:11" ht="14.25" customHeight="1" x14ac:dyDescent="0.2">
      <c r="A15" s="105">
        <v>7</v>
      </c>
      <c r="B15" t="s">
        <v>61</v>
      </c>
      <c r="C15" s="116">
        <v>7843</v>
      </c>
      <c r="D15" s="112">
        <v>370</v>
      </c>
      <c r="E15" s="117">
        <v>8213</v>
      </c>
      <c r="F15" s="21">
        <f t="shared" si="0"/>
        <v>7.3893797347632836E-2</v>
      </c>
    </row>
    <row r="16" spans="1:11" ht="14.25" customHeight="1" x14ac:dyDescent="0.2">
      <c r="A16" s="105">
        <v>8</v>
      </c>
      <c r="B16" t="s">
        <v>62</v>
      </c>
      <c r="C16" s="116">
        <v>602</v>
      </c>
      <c r="D16" s="112">
        <v>96</v>
      </c>
      <c r="E16" s="117">
        <v>698</v>
      </c>
      <c r="F16" s="21">
        <f t="shared" si="0"/>
        <v>6.2800280711856477E-3</v>
      </c>
    </row>
    <row r="17" spans="1:6" ht="14.25" customHeight="1" x14ac:dyDescent="0.2">
      <c r="A17" s="105">
        <v>9</v>
      </c>
      <c r="B17" t="s">
        <v>63</v>
      </c>
      <c r="C17" s="116">
        <v>822</v>
      </c>
      <c r="D17" s="112">
        <v>4395</v>
      </c>
      <c r="E17" s="117">
        <v>5217</v>
      </c>
      <c r="F17" s="21">
        <f t="shared" si="0"/>
        <v>4.6938261385924822E-2</v>
      </c>
    </row>
    <row r="18" spans="1:6" ht="14.25" customHeight="1" x14ac:dyDescent="0.2">
      <c r="A18" s="105">
        <v>10</v>
      </c>
      <c r="B18" t="s">
        <v>64</v>
      </c>
      <c r="C18" s="116">
        <v>7604</v>
      </c>
      <c r="D18" s="112">
        <v>736</v>
      </c>
      <c r="E18" s="117">
        <v>8340</v>
      </c>
      <c r="F18" s="21">
        <f t="shared" si="0"/>
        <v>7.5036438558292701E-2</v>
      </c>
    </row>
    <row r="19" spans="1:6" ht="14.25" customHeight="1" x14ac:dyDescent="0.2">
      <c r="A19" s="105">
        <v>11</v>
      </c>
      <c r="B19" t="s">
        <v>56</v>
      </c>
      <c r="C19" s="116">
        <v>57</v>
      </c>
      <c r="D19" s="112">
        <v>1367</v>
      </c>
      <c r="E19" s="117">
        <v>1424</v>
      </c>
      <c r="F19" s="21">
        <f t="shared" si="0"/>
        <v>1.2811977039209688E-2</v>
      </c>
    </row>
    <row r="20" spans="1:6" ht="14.25" customHeight="1" x14ac:dyDescent="0.2">
      <c r="A20" s="105">
        <v>12</v>
      </c>
      <c r="B20" t="s">
        <v>65</v>
      </c>
      <c r="C20" s="116">
        <v>7429</v>
      </c>
      <c r="D20" s="112">
        <v>1966</v>
      </c>
      <c r="E20" s="117">
        <v>9395</v>
      </c>
      <c r="F20" s="21">
        <f t="shared" si="0"/>
        <v>8.4528458064167852E-2</v>
      </c>
    </row>
    <row r="21" spans="1:6" ht="14.25" customHeight="1" x14ac:dyDescent="0.2">
      <c r="A21" s="105">
        <v>13</v>
      </c>
      <c r="B21" t="s">
        <v>66</v>
      </c>
      <c r="C21" s="116">
        <v>4468</v>
      </c>
      <c r="D21" s="112">
        <v>276</v>
      </c>
      <c r="E21" s="117">
        <v>4744</v>
      </c>
      <c r="F21" s="21">
        <f t="shared" si="0"/>
        <v>4.2682597664333397E-2</v>
      </c>
    </row>
    <row r="22" spans="1:6" ht="14.25" customHeight="1" x14ac:dyDescent="0.2">
      <c r="A22" s="105">
        <v>14</v>
      </c>
      <c r="B22" t="s">
        <v>67</v>
      </c>
      <c r="C22" s="116"/>
      <c r="D22" s="112">
        <v>70</v>
      </c>
      <c r="E22" s="117">
        <v>70</v>
      </c>
      <c r="F22" s="21">
        <f t="shared" si="0"/>
        <v>6.2980224209598188E-4</v>
      </c>
    </row>
    <row r="23" spans="1:6" ht="14.25" customHeight="1" x14ac:dyDescent="0.2">
      <c r="A23" s="105">
        <v>15</v>
      </c>
      <c r="B23" t="s">
        <v>68</v>
      </c>
      <c r="C23" s="116">
        <v>4</v>
      </c>
      <c r="D23" s="112">
        <v>4</v>
      </c>
      <c r="E23" s="117">
        <v>8</v>
      </c>
      <c r="F23" s="21">
        <f t="shared" si="0"/>
        <v>7.1977399096683644E-5</v>
      </c>
    </row>
    <row r="24" spans="1:6" ht="14.25" customHeight="1" x14ac:dyDescent="0.2">
      <c r="A24" s="105">
        <v>16</v>
      </c>
      <c r="B24" t="s">
        <v>69</v>
      </c>
      <c r="C24" s="116">
        <v>464</v>
      </c>
      <c r="D24" s="112">
        <v>97</v>
      </c>
      <c r="E24" s="117">
        <v>561</v>
      </c>
      <c r="F24" s="21">
        <f t="shared" si="0"/>
        <v>5.04741511165494E-3</v>
      </c>
    </row>
    <row r="25" spans="1:6" ht="14.25" customHeight="1" x14ac:dyDescent="0.2">
      <c r="A25" s="105">
        <v>17</v>
      </c>
      <c r="B25" t="s">
        <v>70</v>
      </c>
      <c r="C25" s="116">
        <v>28</v>
      </c>
      <c r="D25" s="112"/>
      <c r="E25" s="117">
        <v>28</v>
      </c>
      <c r="F25" s="21">
        <f t="shared" si="0"/>
        <v>2.5192089683839276E-4</v>
      </c>
    </row>
    <row r="26" spans="1:6" ht="14.25" customHeight="1" x14ac:dyDescent="0.2">
      <c r="A26" s="105">
        <v>18</v>
      </c>
      <c r="B26" t="s">
        <v>71</v>
      </c>
      <c r="C26" s="116">
        <v>304</v>
      </c>
      <c r="D26" s="112">
        <v>1084</v>
      </c>
      <c r="E26" s="117">
        <v>1388</v>
      </c>
      <c r="F26" s="21">
        <f t="shared" si="0"/>
        <v>1.2488078743274612E-2</v>
      </c>
    </row>
    <row r="27" spans="1:6" ht="14.25" customHeight="1" x14ac:dyDescent="0.2">
      <c r="A27" s="105">
        <v>19</v>
      </c>
      <c r="B27" t="s">
        <v>72</v>
      </c>
      <c r="C27" s="116">
        <v>275</v>
      </c>
      <c r="D27" s="112">
        <v>94</v>
      </c>
      <c r="E27" s="117">
        <v>369</v>
      </c>
      <c r="F27" s="21">
        <f t="shared" si="0"/>
        <v>3.3199575333345329E-3</v>
      </c>
    </row>
    <row r="28" spans="1:6" ht="14.25" customHeight="1" x14ac:dyDescent="0.2">
      <c r="A28" s="105">
        <v>20</v>
      </c>
      <c r="B28" t="s">
        <v>12</v>
      </c>
      <c r="C28" s="116">
        <v>6073</v>
      </c>
      <c r="D28" s="112">
        <v>331</v>
      </c>
      <c r="E28" s="117">
        <v>6404</v>
      </c>
      <c r="F28" s="21">
        <f t="shared" si="0"/>
        <v>5.7617907976895255E-2</v>
      </c>
    </row>
    <row r="29" spans="1:6" ht="14.25" customHeight="1" x14ac:dyDescent="0.2">
      <c r="A29" s="105">
        <v>21</v>
      </c>
      <c r="B29" t="s">
        <v>73</v>
      </c>
      <c r="C29" s="116">
        <v>1212</v>
      </c>
      <c r="D29" s="112">
        <v>23</v>
      </c>
      <c r="E29" s="117">
        <v>1235</v>
      </c>
      <c r="F29" s="21">
        <f t="shared" si="0"/>
        <v>1.1111510985550537E-2</v>
      </c>
    </row>
    <row r="30" spans="1:6" ht="14.25" customHeight="1" x14ac:dyDescent="0.2">
      <c r="A30" s="105">
        <v>22</v>
      </c>
      <c r="B30" t="s">
        <v>74</v>
      </c>
      <c r="C30" s="116">
        <v>192</v>
      </c>
      <c r="D30" s="112">
        <v>82</v>
      </c>
      <c r="E30" s="117">
        <v>274</v>
      </c>
      <c r="F30" s="21">
        <f t="shared" si="0"/>
        <v>2.4652259190614148E-3</v>
      </c>
    </row>
    <row r="31" spans="1:6" ht="14.25" customHeight="1" x14ac:dyDescent="0.2">
      <c r="A31" s="105">
        <v>23</v>
      </c>
      <c r="B31" t="s">
        <v>75</v>
      </c>
      <c r="C31" s="116">
        <v>8</v>
      </c>
      <c r="D31" s="112">
        <v>1</v>
      </c>
      <c r="E31" s="117">
        <v>9</v>
      </c>
      <c r="F31" s="21">
        <f t="shared" si="0"/>
        <v>8.0974573983769098E-5</v>
      </c>
    </row>
    <row r="32" spans="1:6" ht="14.25" customHeight="1" x14ac:dyDescent="0.2">
      <c r="A32" s="105">
        <v>24</v>
      </c>
      <c r="B32" t="s">
        <v>76</v>
      </c>
      <c r="C32" s="116">
        <v>214</v>
      </c>
      <c r="D32" s="112">
        <v>315</v>
      </c>
      <c r="E32" s="117">
        <v>529</v>
      </c>
      <c r="F32" s="21">
        <f t="shared" si="0"/>
        <v>4.7595055152682055E-3</v>
      </c>
    </row>
    <row r="33" spans="1:7" ht="14.25" customHeight="1" x14ac:dyDescent="0.2">
      <c r="A33" s="105">
        <v>25</v>
      </c>
      <c r="B33" t="s">
        <v>77</v>
      </c>
      <c r="C33" s="116">
        <v>8690</v>
      </c>
      <c r="D33" s="112">
        <v>233</v>
      </c>
      <c r="E33" s="117">
        <v>8923</v>
      </c>
      <c r="F33" s="21">
        <f t="shared" si="0"/>
        <v>8.0281791517463522E-2</v>
      </c>
    </row>
    <row r="34" spans="1:7" ht="14.25" customHeight="1" x14ac:dyDescent="0.2">
      <c r="A34" s="105">
        <v>26</v>
      </c>
      <c r="B34" t="s">
        <v>78</v>
      </c>
      <c r="C34" s="116">
        <v>979</v>
      </c>
      <c r="D34" s="112">
        <v>222</v>
      </c>
      <c r="E34" s="117">
        <v>1201</v>
      </c>
      <c r="F34" s="21">
        <f t="shared" si="0"/>
        <v>1.0805607039389632E-2</v>
      </c>
    </row>
    <row r="35" spans="1:7" ht="14.25" customHeight="1" x14ac:dyDescent="0.2">
      <c r="A35" s="105">
        <v>27</v>
      </c>
      <c r="B35" t="s">
        <v>92</v>
      </c>
      <c r="C35" s="116">
        <v>1</v>
      </c>
      <c r="D35" s="112"/>
      <c r="E35" s="117">
        <v>1</v>
      </c>
      <c r="F35" s="21">
        <f t="shared" si="0"/>
        <v>8.9971748870854555E-6</v>
      </c>
    </row>
    <row r="36" spans="1:7" ht="14.25" customHeight="1" x14ac:dyDescent="0.2">
      <c r="A36" s="105">
        <v>28</v>
      </c>
      <c r="B36" t="s">
        <v>79</v>
      </c>
      <c r="C36" s="116">
        <v>4556</v>
      </c>
      <c r="D36" s="112">
        <v>914</v>
      </c>
      <c r="E36" s="117">
        <v>5470</v>
      </c>
      <c r="F36" s="21">
        <f t="shared" si="0"/>
        <v>4.9214546632357442E-2</v>
      </c>
    </row>
    <row r="37" spans="1:7" ht="14.25" customHeight="1" x14ac:dyDescent="0.2">
      <c r="A37" s="105">
        <v>29</v>
      </c>
      <c r="B37" t="s">
        <v>80</v>
      </c>
      <c r="C37" s="116">
        <v>458</v>
      </c>
      <c r="D37" s="112">
        <v>126</v>
      </c>
      <c r="E37" s="117">
        <v>584</v>
      </c>
      <c r="F37" s="21">
        <f t="shared" si="0"/>
        <v>5.2543501340579059E-3</v>
      </c>
    </row>
    <row r="38" spans="1:7" ht="14.25" customHeight="1" x14ac:dyDescent="0.2">
      <c r="A38" s="105">
        <v>30</v>
      </c>
      <c r="B38" t="s">
        <v>81</v>
      </c>
      <c r="C38" s="116">
        <v>2599</v>
      </c>
      <c r="D38" s="112">
        <v>196</v>
      </c>
      <c r="E38" s="117">
        <v>2795</v>
      </c>
      <c r="F38" s="21">
        <f t="shared" si="0"/>
        <v>2.5147103809403847E-2</v>
      </c>
    </row>
    <row r="39" spans="1:7" ht="14.25" customHeight="1" x14ac:dyDescent="0.2">
      <c r="A39" s="105">
        <v>31</v>
      </c>
      <c r="B39" t="s">
        <v>82</v>
      </c>
      <c r="C39" s="116">
        <v>1689</v>
      </c>
      <c r="D39" s="112">
        <v>152</v>
      </c>
      <c r="E39" s="117">
        <v>1841</v>
      </c>
      <c r="F39" s="21">
        <f t="shared" si="0"/>
        <v>1.6563798967124323E-2</v>
      </c>
    </row>
    <row r="40" spans="1:7" ht="14.25" customHeight="1" x14ac:dyDescent="0.2">
      <c r="A40" s="105">
        <v>32</v>
      </c>
      <c r="B40" t="s">
        <v>83</v>
      </c>
      <c r="C40" s="116"/>
      <c r="D40" s="112">
        <v>13</v>
      </c>
      <c r="E40" s="117">
        <v>13</v>
      </c>
      <c r="F40" s="21">
        <f t="shared" si="0"/>
        <v>1.1696327353211091E-4</v>
      </c>
    </row>
    <row r="41" spans="1:7" ht="14.25" customHeight="1" x14ac:dyDescent="0.2">
      <c r="A41" s="105">
        <v>33</v>
      </c>
      <c r="B41" t="s">
        <v>54</v>
      </c>
      <c r="C41" s="116">
        <v>3269</v>
      </c>
      <c r="D41" s="112">
        <v>109</v>
      </c>
      <c r="E41" s="117">
        <v>3378</v>
      </c>
      <c r="F41" s="21">
        <f t="shared" si="0"/>
        <v>3.0392456768574667E-2</v>
      </c>
    </row>
    <row r="42" spans="1:7" ht="14.25" customHeight="1" x14ac:dyDescent="0.2">
      <c r="A42" s="105">
        <v>34</v>
      </c>
      <c r="B42" t="s">
        <v>84</v>
      </c>
      <c r="C42" s="116">
        <v>10358</v>
      </c>
      <c r="D42" s="112">
        <v>219</v>
      </c>
      <c r="E42" s="117">
        <v>10577</v>
      </c>
      <c r="F42" s="21">
        <f t="shared" si="0"/>
        <v>9.5163118780702854E-2</v>
      </c>
    </row>
    <row r="43" spans="1:7" ht="14.25" customHeight="1" x14ac:dyDescent="0.2">
      <c r="A43" s="105">
        <v>35</v>
      </c>
      <c r="B43" t="s">
        <v>85</v>
      </c>
      <c r="C43" s="116">
        <v>6350</v>
      </c>
      <c r="D43" s="112">
        <v>523</v>
      </c>
      <c r="E43" s="117">
        <v>6873</v>
      </c>
      <c r="F43" s="21">
        <f t="shared" si="0"/>
        <v>6.183758299893833E-2</v>
      </c>
    </row>
    <row r="44" spans="1:7" ht="14.25" customHeight="1" x14ac:dyDescent="0.2">
      <c r="A44" s="105">
        <v>36</v>
      </c>
      <c r="B44" t="s">
        <v>86</v>
      </c>
      <c r="C44" s="116">
        <v>597</v>
      </c>
      <c r="D44" s="112">
        <v>104</v>
      </c>
      <c r="E44" s="117">
        <v>701</v>
      </c>
      <c r="F44" s="21">
        <f t="shared" si="0"/>
        <v>6.3070195958469044E-3</v>
      </c>
    </row>
    <row r="45" spans="1:7" ht="14.25" customHeight="1" x14ac:dyDescent="0.2">
      <c r="A45" s="105">
        <v>37</v>
      </c>
      <c r="B45" t="s">
        <v>88</v>
      </c>
      <c r="C45" s="116">
        <v>39</v>
      </c>
      <c r="D45" s="112">
        <v>16</v>
      </c>
      <c r="E45" s="117">
        <v>55</v>
      </c>
      <c r="F45" s="21">
        <f t="shared" si="0"/>
        <v>4.9484461878970007E-4</v>
      </c>
    </row>
    <row r="46" spans="1:7" ht="14.25" customHeight="1" x14ac:dyDescent="0.2">
      <c r="A46" s="105">
        <v>38</v>
      </c>
      <c r="B46" t="s">
        <v>87</v>
      </c>
      <c r="C46" s="116">
        <v>2576</v>
      </c>
      <c r="D46" s="112">
        <v>365</v>
      </c>
      <c r="E46" s="117">
        <v>2941</v>
      </c>
      <c r="F46" s="21">
        <f t="shared" si="0"/>
        <v>2.6460691342918324E-2</v>
      </c>
    </row>
    <row r="47" spans="1:7" x14ac:dyDescent="0.2">
      <c r="A47" s="105"/>
      <c r="B47" s="108" t="s">
        <v>57</v>
      </c>
      <c r="C47" s="118">
        <v>91245</v>
      </c>
      <c r="D47" s="119">
        <v>19901</v>
      </c>
      <c r="E47" s="120">
        <v>111146</v>
      </c>
      <c r="F47" s="21">
        <f>SUM(F9:F46)</f>
        <v>1.0000000000000002</v>
      </c>
      <c r="G47" s="109"/>
    </row>
    <row r="48" spans="1:7" x14ac:dyDescent="0.2">
      <c r="A48" s="106"/>
    </row>
    <row r="49" spans="1:10" x14ac:dyDescent="0.2">
      <c r="A49" s="1" t="s">
        <v>22</v>
      </c>
      <c r="B49" s="103"/>
    </row>
    <row r="50" spans="1:10" x14ac:dyDescent="0.2">
      <c r="A50" s="1" t="s">
        <v>21</v>
      </c>
      <c r="J50" s="104"/>
    </row>
    <row r="51" spans="1:10" x14ac:dyDescent="0.2">
      <c r="A51" s="1" t="s">
        <v>17</v>
      </c>
    </row>
  </sheetData>
  <sortState ref="B9:E52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E11" sqref="E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April 30,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3158</v>
      </c>
      <c r="C13" s="43">
        <f>IF(B13=0,0,B13/'Summary Load Customers '!$B$22)</f>
        <v>1.0499054154241013E-2</v>
      </c>
      <c r="D13" s="42">
        <f>REC_programs_detail!C23</f>
        <v>34</v>
      </c>
      <c r="E13" s="43">
        <f>IF(D13=0,0,D13/('Summary Load Customers '!$D$22+'Summary Load Customers '!$F$22))</f>
        <v>8.9485458612975394E-4</v>
      </c>
      <c r="F13" s="42">
        <f>B13+D13</f>
        <v>3192</v>
      </c>
      <c r="G13" s="43">
        <f>IF(F13=0,0,F13/'Summary Load Customers '!$H$22)</f>
        <v>9.4219325587985257E-3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3,192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585</v>
      </c>
      <c r="C20" s="43">
        <f>IF(B20=0,0,B20/'Summary Load Customers '!$B$22)</f>
        <v>1.9448849525747285E-3</v>
      </c>
      <c r="D20" s="42">
        <f>REC_programs_detail!C29</f>
        <v>55</v>
      </c>
      <c r="E20" s="43">
        <f>IF(D20=0,0,D20/('Summary Load Customers '!$D$22+'Summary Load Customers '!$F$22))</f>
        <v>1.4475588893275431E-3</v>
      </c>
      <c r="F20" s="42">
        <f>B20+D20</f>
        <v>640</v>
      </c>
      <c r="G20" s="43">
        <f>IF(F20=0,0,F20/'Summary Load Customers '!$H$22)</f>
        <v>1.8891092849721357E-3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0,640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3743</v>
      </c>
      <c r="C27" s="43">
        <f>IF(B27=0,0,B27/'Summary Load Customers '!$B$22)</f>
        <v>1.2443939106815741E-2</v>
      </c>
      <c r="D27" s="42">
        <f>D13+D20</f>
        <v>89</v>
      </c>
      <c r="E27" s="43">
        <f>IF(D27=0,0,D27/('Summary Load Customers '!$D$22+'Summary Load Customers '!$F$22))</f>
        <v>2.342413475457297E-3</v>
      </c>
      <c r="F27" s="42">
        <f>B27+D27</f>
        <v>3832</v>
      </c>
      <c r="G27" s="43">
        <f>IF(F27=0,0,F27/'Summary Load Customers '!$H$22)</f>
        <v>1.1311041843770662E-2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3,832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28" zoomScale="110" zoomScaleNormal="110" workbookViewId="0">
      <selection activeCell="B51" sqref="B51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April 30, 2020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116</v>
      </c>
      <c r="C9" s="84">
        <v>2</v>
      </c>
      <c r="D9" s="85">
        <f>SUM(B9:C9)</f>
        <v>118</v>
      </c>
      <c r="E9" s="87"/>
      <c r="F9" s="87"/>
      <c r="G9" s="86"/>
      <c r="H9" s="75"/>
    </row>
    <row r="10" spans="1:9" x14ac:dyDescent="0.2">
      <c r="A10" s="82" t="s">
        <v>15</v>
      </c>
      <c r="B10" s="84">
        <v>2587</v>
      </c>
      <c r="C10" s="84">
        <v>31</v>
      </c>
      <c r="D10" s="85">
        <f>SUM(B10:C10)</f>
        <v>2618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2703</v>
      </c>
      <c r="C11" s="91">
        <f>IF(SUM(C8:C10)=0,0,SUM(C8:C10))</f>
        <v>33</v>
      </c>
      <c r="D11" s="91">
        <f>IF(SUM(D8:D10)=0,0,SUM(D8:D10))</f>
        <v>2736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453</v>
      </c>
      <c r="C16" s="84">
        <v>1</v>
      </c>
      <c r="D16" s="85">
        <f>SUM(B16:C16)</f>
        <v>454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455</v>
      </c>
      <c r="C17" s="91">
        <f>IF(SUM(C14:C16)=0,0,SUM(C14:C16))</f>
        <v>1</v>
      </c>
      <c r="D17" s="91">
        <f>IF(SUM(D14:D16)=0,0,SUM(D14:D16))</f>
        <v>456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118</v>
      </c>
      <c r="C21" s="96">
        <f>IF(C9+C15=0,0,C9+C15)</f>
        <v>2</v>
      </c>
      <c r="D21" s="85">
        <f t="shared" si="0"/>
        <v>120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3040</v>
      </c>
      <c r="C22" s="96">
        <f>IF(C10+C16=0,0,C10+C16)</f>
        <v>32</v>
      </c>
      <c r="D22" s="85">
        <f>IF(D10+D16=0,0,D10+D16)</f>
        <v>3072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3158</v>
      </c>
      <c r="C23" s="91">
        <f>IF(SUM(C20:C22)=0,0,SUM(C20:C22))</f>
        <v>34</v>
      </c>
      <c r="D23" s="91">
        <f>SUM(D20:D22)</f>
        <v>3192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175</v>
      </c>
      <c r="C27" s="84">
        <v>11</v>
      </c>
      <c r="D27" s="85">
        <f>SUM(B27:C27)</f>
        <v>186</v>
      </c>
    </row>
    <row r="28" spans="1:8" x14ac:dyDescent="0.2">
      <c r="A28" s="82" t="s">
        <v>15</v>
      </c>
      <c r="B28" s="84">
        <v>410</v>
      </c>
      <c r="C28" s="84">
        <v>44</v>
      </c>
      <c r="D28" s="85">
        <f>SUM(B28:C28)</f>
        <v>454</v>
      </c>
    </row>
    <row r="29" spans="1:8" x14ac:dyDescent="0.2">
      <c r="A29" s="90" t="str">
        <f>A23</f>
        <v>Total</v>
      </c>
      <c r="B29" s="110">
        <f>IF(B27+B28=0,0,B27+B28)</f>
        <v>585</v>
      </c>
      <c r="C29" s="91">
        <f>IF(SUM(C26:C28)=0,0,SUM(C26:C28))</f>
        <v>55</v>
      </c>
      <c r="D29" s="91">
        <f>IF(SUM(D26:D28)=0,0,SUM(D26:D28))</f>
        <v>640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293</v>
      </c>
      <c r="C33" s="96">
        <f t="shared" si="1"/>
        <v>13</v>
      </c>
      <c r="D33" s="85">
        <f t="shared" si="1"/>
        <v>306</v>
      </c>
      <c r="E33" s="75"/>
      <c r="F33" s="75"/>
      <c r="G33" s="75"/>
    </row>
    <row r="34" spans="1:7" x14ac:dyDescent="0.2">
      <c r="A34" s="82" t="s">
        <v>15</v>
      </c>
      <c r="B34" s="96">
        <f>B22+B28</f>
        <v>3450</v>
      </c>
      <c r="C34" s="96">
        <f t="shared" si="1"/>
        <v>76</v>
      </c>
      <c r="D34" s="85">
        <f t="shared" si="1"/>
        <v>3526</v>
      </c>
    </row>
    <row r="35" spans="1:7" x14ac:dyDescent="0.2">
      <c r="A35" s="90" t="str">
        <f>A29</f>
        <v>Total</v>
      </c>
      <c r="B35" s="91">
        <f>IF(B33+B34=0,0,B33+B34)</f>
        <v>3743</v>
      </c>
      <c r="C35" s="91">
        <f>IF(SUM(C32:C34)=0,0,SUM(C32:C34))</f>
        <v>89</v>
      </c>
      <c r="D35" s="91">
        <f>SUM(D32:D34)</f>
        <v>3832</v>
      </c>
    </row>
    <row r="37" spans="1:7" x14ac:dyDescent="0.2">
      <c r="A37" s="97" t="str">
        <f>"In summary, "&amp;TEXT($D$23,"0,000")&amp; " of UI's customers are participating in the CTCleanEnergyOptions Program"</f>
        <v>In summary, 3,192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640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3,832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2020-05-08T22:27:23Z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</Properties>
</file>